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.docs.live.net/6f7c0c436f228958/Desktop/"/>
    </mc:Choice>
  </mc:AlternateContent>
  <xr:revisionPtr revIDLastSave="0" documentId="8_{5DBEF27A-1112-4065-9868-376C7BF2C0B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คำนวณ" sheetId="1" r:id="rId1"/>
    <sheet name="สำเนาของ คำนวณ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idgkZriUWHLgDARZ/dfRLgN8F/7LC5tuxkvDIkku3k="/>
    </ext>
  </extLst>
</workbook>
</file>

<file path=xl/calcChain.xml><?xml version="1.0" encoding="utf-8"?>
<calcChain xmlns="http://schemas.openxmlformats.org/spreadsheetml/2006/main">
  <c r="D13" i="1" l="1"/>
  <c r="E24" i="1"/>
  <c r="E13" i="1"/>
  <c r="H31" i="2"/>
  <c r="E24" i="2"/>
  <c r="E21" i="2"/>
  <c r="E17" i="2"/>
  <c r="C14" i="2"/>
  <c r="D13" i="2"/>
  <c r="E13" i="2" s="1"/>
  <c r="D12" i="2"/>
  <c r="E12" i="2" s="1"/>
  <c r="D11" i="2"/>
  <c r="E11" i="2" s="1"/>
  <c r="E10" i="2"/>
  <c r="D10" i="2"/>
  <c r="E9" i="2"/>
  <c r="D8" i="2"/>
  <c r="E8" i="2" s="1"/>
  <c r="D6" i="2"/>
  <c r="E6" i="2" s="1"/>
  <c r="H31" i="1"/>
  <c r="E17" i="1" s="1"/>
  <c r="E21" i="1"/>
  <c r="C14" i="1"/>
  <c r="D12" i="1"/>
  <c r="E12" i="1" s="1"/>
  <c r="D11" i="1"/>
  <c r="E11" i="1" s="1"/>
  <c r="D10" i="1"/>
  <c r="E10" i="1" s="1"/>
  <c r="E9" i="1"/>
  <c r="D8" i="1"/>
  <c r="E8" i="1" s="1"/>
  <c r="D6" i="1"/>
  <c r="E6" i="1" s="1"/>
  <c r="E14" i="1" l="1"/>
  <c r="E16" i="1" s="1"/>
  <c r="D14" i="1"/>
  <c r="E14" i="2"/>
  <c r="D14" i="2"/>
  <c r="E18" i="1" l="1"/>
  <c r="E19" i="1" s="1"/>
  <c r="E23" i="1" s="1"/>
  <c r="E18" i="2"/>
  <c r="E16" i="2"/>
  <c r="M7" i="1" l="1"/>
  <c r="Q7" i="1" s="1"/>
  <c r="F23" i="1"/>
  <c r="E25" i="1"/>
  <c r="E26" i="1" s="1"/>
  <c r="M8" i="2"/>
  <c r="Q8" i="2" s="1"/>
  <c r="E19" i="2"/>
  <c r="E23" i="2" s="1"/>
  <c r="E25" i="2" s="1"/>
  <c r="E26" i="2" s="1"/>
  <c r="M7" i="2"/>
  <c r="M8" i="1"/>
  <c r="Q7" i="2" l="1"/>
  <c r="M9" i="2"/>
  <c r="Q9" i="2" s="1"/>
  <c r="M10" i="2"/>
  <c r="Q10" i="2" s="1"/>
  <c r="Q8" i="1"/>
  <c r="M9" i="1"/>
  <c r="Q9" i="1" s="1"/>
  <c r="M10" i="1" l="1"/>
  <c r="M11" i="1" s="1"/>
  <c r="M11" i="2"/>
  <c r="Q11" i="2" s="1"/>
  <c r="Q11" i="1" l="1"/>
  <c r="M12" i="1"/>
  <c r="Q12" i="1" s="1"/>
  <c r="M12" i="2"/>
  <c r="Q12" i="2" s="1"/>
  <c r="Q10" i="1"/>
  <c r="M13" i="2" l="1"/>
  <c r="Q13" i="2" s="1"/>
  <c r="Q15" i="2" s="1"/>
  <c r="M13" i="1"/>
  <c r="M14" i="1" s="1"/>
  <c r="Q14" i="1" s="1"/>
  <c r="M14" i="2"/>
  <c r="Q14" i="2" s="1"/>
  <c r="M15" i="2" l="1"/>
  <c r="Q13" i="1"/>
  <c r="Q15" i="1" s="1"/>
  <c r="M15" i="1"/>
</calcChain>
</file>

<file path=xl/sharedStrings.xml><?xml version="1.0" encoding="utf-8"?>
<sst xmlns="http://schemas.openxmlformats.org/spreadsheetml/2006/main" count="170" uniqueCount="85">
  <si>
    <t>ประมาณการภาษีเงินได้ บุคคลธรรมดา</t>
  </si>
  <si>
    <t>รายได้</t>
  </si>
  <si>
    <t>ค่าใช้จ่าย</t>
  </si>
  <si>
    <t>เงินได้หลังหักค่าใช้จ่าย</t>
  </si>
  <si>
    <t>1. ค่าลดหย่อนผู้มีเงินได้</t>
  </si>
  <si>
    <t>60,000 บาท</t>
  </si>
  <si>
    <t>เงินเดือน</t>
  </si>
  <si>
    <t>2. ค่าลดหย่อนคู่สมรส</t>
  </si>
  <si>
    <t>60,000 บาท (กรณีคู่สมรสไม่มีรายได้) และกฎหมายอนุญาตให้มีได้สูงสุด 1 คน</t>
  </si>
  <si>
    <t>Range of Net Income</t>
  </si>
  <si>
    <t>Net Income</t>
  </si>
  <si>
    <t>Tax Rate</t>
  </si>
  <si>
    <t>Tax Amount</t>
  </si>
  <si>
    <t>รับจ้าง ฯลฯ</t>
  </si>
  <si>
    <t>3. ค่าลดหย่อนบุตร</t>
  </si>
  <si>
    <t>บุตรคนแรก 30,000  บุตรคนที่สองเป็นต้นไป 60,000 บาท</t>
  </si>
  <si>
    <t>1 - 150,000</t>
  </si>
  <si>
    <t>ลิขสิทธิ์</t>
  </si>
  <si>
    <t>4. ค่าลดหย่อนบุตรบุญธรรม</t>
  </si>
  <si>
    <t>บุตรบุญธรรมที่จดทะเบียนรับบุตรบุญธรรมถูกต้องตามกฎหมาย สามารถนำมาลดหย่อนได้คนละ 30,000 บาท สูงสุดได้ไม่เกิน 3 คน และบุตรบุญธรรมต้องมีรายได้ในปีภาษีนั้นไม่เกิน 30,000 บาท</t>
  </si>
  <si>
    <t>150,001 - 300,000</t>
  </si>
  <si>
    <t>ดอกเบี้ย เงินปันผล</t>
  </si>
  <si>
    <t>ห้ามหัก ค่าใช้จ่าย</t>
  </si>
  <si>
    <t>5. ค่าใช้จ่ายฝากครรภ์และค่าคลอดบุตร</t>
  </si>
  <si>
    <t>ตามจริงแต่ไม่เกินท้องละ 60,000 บาท (เป็นค่าใช้จ่ายที่เกิดขึ้นจากการรักษาพยาบาลจากการตั้งครรภ์และคลอดบุตร ไม่ว่าจะเป็นค้าตรวจครรภ์ รักฝากครรภ์ ค่าบำบัดทางการแพทย์ ค่ายาค่าเวชภัณฑ์ ค่าทำคลอด ค่ากินอยู่ในโรงพยาบาล )</t>
  </si>
  <si>
    <t>300,001 - 500,000</t>
  </si>
  <si>
    <t>ค่าเช่าทรัพย์สิน</t>
  </si>
  <si>
    <t>6. ค่าลดหย่อนบิดามารดา</t>
  </si>
  <si>
    <t>คนละ 30,000 บาท (บิดามารดาต้องมีอายุเกิน 60 ปี และมีเงินได้ไม่เกิน 30,000 บาทต่อปี) (ได้ทั้งบิดามารดาเราและคู่สมรส)</t>
  </si>
  <si>
    <t>500,001 - 750,000</t>
  </si>
  <si>
    <t>วิชาชีพอิสระ</t>
  </si>
  <si>
    <t>7. ลดหย่อนสำหรับเบี้ยประกันสุขภาพบิดามารดา</t>
  </si>
  <si>
    <t>สิทธิลดหย่อนนี้สามารถใช้สิทธิได้ทั้งบิดามารดาของตนเอง และคู่สมรส โดยจะได้สิทธิลดหย่อนตามจริง แต่เมื่อนำค่าเบี้ยประกันสุขภาพรวมกัน ทั้งของบิดาและมารดาต้องไม่เกิน 15,000 บาท</t>
  </si>
  <si>
    <t>750001 - 1,000,000</t>
  </si>
  <si>
    <t>รับเหมาก่อสร้าง</t>
  </si>
  <si>
    <t>8. เบี้ยประกันชีวิตและประกันชีวิตแบบบำนาญของคู่สมรส</t>
  </si>
  <si>
    <t>หากในปีภาษีนั้น ๆ คู่สมรสไม่มีรายได้ สามารถนำเบี้ยประกันของคู่สมรสมาลดหย่อนภาษีได้สูงสูด 10,000 บาท</t>
  </si>
  <si>
    <t>1,000,000 - 2,000,000</t>
  </si>
  <si>
    <t>อื่นๆ</t>
  </si>
  <si>
    <t>9. ค่าลดหย่อนผู้พิการหรือทุพพลภาพ</t>
  </si>
  <si>
    <t>คนละ 60,000 บาท (ต้องมีบัตรประจำตัวคนพิการ)</t>
  </si>
  <si>
    <t>2,000,001-5,000,000</t>
  </si>
  <si>
    <t>10. เบี้ยประกันชีวิต</t>
  </si>
  <si>
    <t>ตามที่จ่ายจริงแต่ไม่เกิน 100,000 บาท (กรมธรรม์อายุ 10 ปีขึ้นไป)</t>
  </si>
  <si>
    <t>11. ค่าซื้อกองทุนรวมเพื่อการเลี้ยงชีพ </t>
  </si>
  <si>
    <t>ตามที่จ่ายจริงแต่ไม่เกิน 15% ของเงินได้ที่ต้องเสียภาษี และเมื่อรวมกันทั้งหมดแล้วไม่เกิน 500,000 บาท  (RMF)/กบข./กองทุนสํารองเลี้ยงชีพ/กองทุนสงเคราะห์ครูโรงเรียนเอกชน</t>
  </si>
  <si>
    <t>วิธีที่ 1</t>
  </si>
  <si>
    <t>รวมเงินได้พึงประเมิน หลังหักค่าใช้จ่าย</t>
  </si>
  <si>
    <t>12. กองทุนการออมแห่งชาติ (กอช.)</t>
  </si>
  <si>
    <t>ตามที่จ่ายจริงแต่ไม่เกิน 13,200 บาท และเมื่อรวมกับ ข้อ 11. และเบี้ยประกันชีวิตแบบบำนาญแล้วต้องไม่เกิน 500,000 บาท</t>
  </si>
  <si>
    <t>รวมค่าลดหย่อน ทั้งสิ้น</t>
  </si>
  <si>
    <t>13. เบี้ยประกันชีวิต และเบี้ยประกันแบบสะสมทรัพย์</t>
  </si>
  <si>
    <t xml:space="preserve">สามารถลดหย่อนตามจำนวนที่จ่ายจริงแต่ไม่เกิน 100,000 บาท และต้องเป็นประกันชีวิตที่ทำกับบริษัทประกันชีวิตในประเทศไทยเท่านั้น และกรมธรรม์ต้องมีกำหนดเวลา 10 ปีขึ้นไป ) </t>
  </si>
  <si>
    <t>รวมเงินได้หลังหักค่าใช้จ่ายและค่าลดหย่อน</t>
  </si>
  <si>
    <t>14. เบี้ยประกันสุขภาพ</t>
  </si>
  <si>
    <t>สามารถลดหย่อนตามจำนวนที่จ่ายจริง แต่ไม่เกิน 25,000 บาท และเมื่อรวมกับเบี้ยประกันชีวิตและเบี้ยประกันแบบสะสมทรัพย์แล้ว จะต้องไม่เกิน 100,000 บาท</t>
  </si>
  <si>
    <t>ภาษี  (1)</t>
  </si>
  <si>
    <t>15. เบี้ยประกันชีวิตแบบบำนาญ</t>
  </si>
  <si>
    <t>ตามที่จ่ายจริงแต่ไม่เกิน 15% ของเงินได้ที่ต้องเสียภาษีและไม่เกิน 200,000 บาท และเมื่อรวมกับข้อ 11. แล้วต้องไม่เกิน 500,000 บาท</t>
  </si>
  <si>
    <t>16. เงินลงทุนธุรกิจวิสาหกิจเพื่อสังคม</t>
  </si>
  <si>
    <t>สามารถลดหย่อนได้ตามที่จ่ายจริง สูงสุดไม่เกิน 100,000 บาท ซึ่งจะต้องลงทุนในธุรกิจ หรือลงทุนในหุ้นของธุรกิจที่ได้จดทะเบียนเป็นวิสาหกิจเพื่อสังคม ตามพระราชบัญญัติส่งเสริมวิสาหกิจเพื่อสังคม พ.ศ. 2562</t>
  </si>
  <si>
    <t>ภาษี  (2) 0.5%</t>
  </si>
  <si>
    <t>17. ค่าซื้อหน่วยลงทุนในกองทุนรวมเพื่อการเลี้ยงชีพ (RMF)</t>
  </si>
  <si>
    <t>ลดหย่อนภาษีได้ไม่เกินร้อยละ 30 ของรายได้ และต้องไม่เกิน 500,000 บาท และเมื่อรวมกับการออมและกองทุนเพื่อการเกษียณอายุอื่น ๆ* แล้ว ต้องไม่เกิน 500,000 บาท</t>
  </si>
  <si>
    <t>18. ค่าซื้อหน่วยลงทุนในกองทุนรวมเพื่อการออม (SSF)</t>
  </si>
  <si>
    <t>ลดหย่อนภาษีได้ไม่เกินร้อยละ 30 ของรายได้** และสุงสุดไม่เกิน 200,000 บาท และเมื่อรวมกับการออมและกองทุนเพื่อการเกษียณอายุอื่น ๆ* แล้ว ต้องไม่เกิน 500,000 บาท</t>
  </si>
  <si>
    <t>ภาษีทั้งสิ้น</t>
  </si>
  <si>
    <t>19. ค่าซื้อหน่วยลงทุนในกองทุนรวมไทยเพื่อความยั่งยืน (Thai ESG)</t>
  </si>
  <si>
    <t>การลงทุนในกองทุน Thai ESG ตั้งแต่วันที่ 1 มกราคม พ.ศ. 2567 ถึงวันที่ 31 ธันวาคม พ.ศ. 2569 สามารถนำมาลดหย่อนภาษีได้ไม่เกินร้อยละ 30 ของรายได้ และสูงสุดต้องไม่เกิน 300,000 บาท</t>
  </si>
  <si>
    <t>ภาษีถูกหัก ณ ที่จ่าย</t>
  </si>
  <si>
    <t>20. ดอกเบี้ยเงินกู้ยืมเพื่อซื้อ เช่าซื้อ หรือสร้างอาคารที่อยู่อาศัย</t>
  </si>
  <si>
    <t>ดอกเบี้ยเงินกู้ยืมเพื่อซื้อ เช่าซื้อ หรือสร้างอาคารที่อยู่อาศัย สามารถนำมาลดหย่อนได้ตามจำนวนเงินที่จ่ายจริง แต่ไม่เกิน 100,000 บาท โดยต้องมีหนังสือรับรองตามแบบที่อธิบดีกำหนด</t>
  </si>
  <si>
    <t>ภาษีที่ต้องชำระ</t>
  </si>
  <si>
    <t>21. โครงการ Easy e-Receipt</t>
  </si>
  <si>
    <t>ค่าซื้อสินค้าหรือบริการในประเทศตั้งแต่วันที่ 1 มกราคม 2567 ถึง 15 กุมภาพันธ์ 2567 ลดหย่อนภาษีได้ตามจำนวนที่จ่ายจริงรวม VAT แต่สูงสุดไม่เกิน 50,000 บาท และจะต้องเป็นสินค้าที่มีใบกำกับภาษีและใบเสร็จรับเงินอิเล็กทรอนิกส์</t>
  </si>
  <si>
    <t>เสียภาษีบุคคลเป็นกี่ % ของรายได้</t>
  </si>
  <si>
    <t>22. เที่ยวเมืองรอง</t>
  </si>
  <si>
    <t>มาตรการลดหย่อนภาษีปี 2567 เที่ยวเมืองรอง 55 จังหวัด สามารถนำค่าที่พักที่จ่ายจริง มาลดหย่อนภาษีไม่เกิน 15,000 บาท โดยต้องมีใบกำกับภาษีแบบเต็มในรูปแบบอิเล็กทรอนิกส์ ผ่านระบบใบกำกับภาษีอิเล็กทรอนิกส์</t>
  </si>
  <si>
    <t>23. เงินบริจาคทั่วไป</t>
  </si>
  <si>
    <t>ตามที่จ่ายจริงแต่ไม่เกิน 10% ของเงินได้หลังหักค่าลดหย่อน</t>
  </si>
  <si>
    <t>24. เงินบริจาคลดหย่อนภาษีได้ 2 เท่า</t>
  </si>
  <si>
    <t>เงินบริจาคให้สถานศึกษาทั้งของรัฐและเอกชน กีฬา สถานพยาบาลของรัฐ และเงินบริจาคพิเศษผ่าน e-Donation สามารถนำมายื่นลดหย่อนภาษีได้ 2 เท่าของจำนวนเงินที่จ่ายไปจริง แต่ไม่เกินร้อยละ 10 ของรายได้หลังหักค่าใช้จ่ายและค่าลดหย่อน</t>
  </si>
  <si>
    <t>25. เงินบริจาคพรรคการเมือง</t>
  </si>
  <si>
    <t>สามารถลดหย่อนได้ตามจำนวนที่จ่ายจริง แต่ไม่เกิน 10,000 บาท โดยจะต้องมีเอกสารมาแสดง คือใบเสร็จรับเงินหรือหลักฐานอื่นใดที่พิสูจน์ได้ถึงการบริจาคให้พรรคการเมืองดังกล่าว</t>
  </si>
  <si>
    <t>รวมค่าลดหย่อน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</si>
</sst>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.00_-;\-* #,##0.00_-;_-* &quot;-&quot;??_-;_-@"/>
    <numFmt numFmtId="165" formatCode="#,##0.00;[Red]\(#,##0.00\)"/>
    <numFmt numFmtId="166" formatCode="_-* #,##0_-;\-* #,##0_-;_-* &quot;-&quot;??_-;_-@"/>
  </numFmts>
  <fonts count="21">
    <font>
      <sz val="11"/>
      <color theme="1"/>
      <name val="Calibri"/>
      <scheme val="minor"/>
    </font>
    <font>
      <sz val="10"/>
      <color rgb="FF000000"/>
      <name val="Arial"/>
    </font>
    <font>
      <sz val="10"/>
      <color theme="1"/>
      <name val="Arial"/>
    </font>
    <font>
      <b/>
      <sz val="20"/>
      <color theme="0"/>
      <name val="Arial"/>
    </font>
    <font>
      <sz val="11"/>
      <name val="Calibri"/>
    </font>
    <font>
      <sz val="14"/>
      <color rgb="FF000000"/>
      <name val="Arial"/>
    </font>
    <font>
      <b/>
      <sz val="14"/>
      <color theme="1"/>
      <name val="Arial"/>
    </font>
    <font>
      <sz val="12"/>
      <color theme="1"/>
      <name val="Arial"/>
    </font>
    <font>
      <sz val="11"/>
      <color theme="1"/>
      <name val="Arial"/>
    </font>
    <font>
      <sz val="14"/>
      <color theme="1"/>
      <name val="Arial"/>
    </font>
    <font>
      <sz val="14"/>
      <color rgb="FFFF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2"/>
      <color rgb="FF000000"/>
      <name val="Arial"/>
    </font>
    <font>
      <b/>
      <sz val="14"/>
      <color rgb="FFFF0000"/>
      <name val="Arial"/>
    </font>
    <font>
      <b/>
      <sz val="16"/>
      <color theme="0"/>
      <name val="Arial"/>
    </font>
    <font>
      <b/>
      <sz val="12"/>
      <color theme="1"/>
      <name val="Arial"/>
    </font>
    <font>
      <b/>
      <sz val="14"/>
      <color theme="0"/>
      <name val="Arial"/>
    </font>
    <font>
      <b/>
      <sz val="12"/>
      <color rgb="FF000000"/>
      <name val="Arial"/>
    </font>
    <font>
      <sz val="14"/>
      <color theme="0"/>
      <name val="Arial"/>
    </font>
    <font>
      <b/>
      <sz val="11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  <fill>
      <patternFill patternType="solid">
        <fgColor rgb="FFF9FCDA"/>
        <bgColor rgb="FFF9FCDA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494429"/>
      </left>
      <right style="thin">
        <color rgb="FF494429"/>
      </right>
      <top style="thin">
        <color rgb="FF494429"/>
      </top>
      <bottom style="thin">
        <color rgb="FF4944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494429"/>
      </left>
      <right style="thin">
        <color rgb="FF494429"/>
      </right>
      <top style="thin">
        <color rgb="FF494429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494429"/>
      </right>
      <top/>
      <bottom style="thin">
        <color rgb="FF494429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494429"/>
      </right>
      <top style="thin">
        <color rgb="FF494429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494429"/>
      </left>
      <right style="thin">
        <color rgb="FF494429"/>
      </right>
      <top/>
      <bottom style="thin">
        <color rgb="FF49442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164" fontId="8" fillId="3" borderId="4" xfId="0" applyNumberFormat="1" applyFont="1" applyFill="1" applyBorder="1"/>
    <xf numFmtId="0" fontId="2" fillId="0" borderId="5" xfId="0" applyFont="1" applyBorder="1" applyAlignment="1">
      <alignment vertical="top" wrapText="1"/>
    </xf>
    <xf numFmtId="0" fontId="9" fillId="0" borderId="0" xfId="0" applyFont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164" fontId="9" fillId="5" borderId="7" xfId="0" applyNumberFormat="1" applyFont="1" applyFill="1" applyBorder="1" applyAlignment="1">
      <alignment vertical="center"/>
    </xf>
    <xf numFmtId="165" fontId="10" fillId="6" borderId="8" xfId="0" applyNumberFormat="1" applyFont="1" applyFill="1" applyBorder="1" applyAlignment="1">
      <alignment horizontal="right" vertical="center"/>
    </xf>
    <xf numFmtId="164" fontId="9" fillId="6" borderId="9" xfId="0" applyNumberFormat="1" applyFont="1" applyFill="1" applyBorder="1" applyAlignment="1">
      <alignment horizontal="center" vertical="center"/>
    </xf>
    <xf numFmtId="164" fontId="8" fillId="5" borderId="4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10" fillId="6" borderId="10" xfId="0" applyNumberFormat="1" applyFont="1" applyFill="1" applyBorder="1" applyAlignment="1">
      <alignment horizontal="center" vertical="center"/>
    </xf>
    <xf numFmtId="164" fontId="9" fillId="6" borderId="11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166" fontId="9" fillId="0" borderId="0" xfId="0" applyNumberFormat="1" applyFont="1"/>
    <xf numFmtId="164" fontId="9" fillId="0" borderId="0" xfId="0" applyNumberFormat="1" applyFont="1"/>
    <xf numFmtId="9" fontId="9" fillId="0" borderId="0" xfId="0" applyNumberFormat="1" applyFont="1" applyAlignment="1">
      <alignment horizontal="center"/>
    </xf>
    <xf numFmtId="0" fontId="9" fillId="0" borderId="0" xfId="0" applyFont="1"/>
    <xf numFmtId="164" fontId="9" fillId="4" borderId="6" xfId="0" applyNumberFormat="1" applyFont="1" applyFill="1" applyBorder="1" applyAlignment="1">
      <alignment horizontal="left" vertical="center"/>
    </xf>
    <xf numFmtId="165" fontId="10" fillId="6" borderId="14" xfId="0" applyNumberFormat="1" applyFont="1" applyFill="1" applyBorder="1" applyAlignment="1">
      <alignment horizontal="right" vertical="center"/>
    </xf>
    <xf numFmtId="164" fontId="9" fillId="6" borderId="1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5" borderId="6" xfId="0" applyNumberFormat="1" applyFont="1" applyFill="1" applyBorder="1" applyAlignment="1">
      <alignment vertical="center"/>
    </xf>
    <xf numFmtId="0" fontId="1" fillId="0" borderId="15" xfId="0" applyFont="1" applyBorder="1" applyAlignment="1">
      <alignment wrapText="1"/>
    </xf>
    <xf numFmtId="164" fontId="9" fillId="6" borderId="14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top" wrapText="1"/>
    </xf>
    <xf numFmtId="165" fontId="10" fillId="7" borderId="14" xfId="0" applyNumberFormat="1" applyFont="1" applyFill="1" applyBorder="1" applyAlignment="1">
      <alignment horizontal="right" vertical="center"/>
    </xf>
    <xf numFmtId="164" fontId="8" fillId="5" borderId="17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top" wrapText="1"/>
    </xf>
    <xf numFmtId="3" fontId="9" fillId="0" borderId="0" xfId="0" applyNumberFormat="1" applyFont="1" applyAlignment="1">
      <alignment horizontal="center"/>
    </xf>
    <xf numFmtId="0" fontId="1" fillId="0" borderId="15" xfId="0" applyFont="1" applyBorder="1" applyAlignment="1">
      <alignment vertical="top"/>
    </xf>
    <xf numFmtId="166" fontId="9" fillId="5" borderId="7" xfId="0" applyNumberFormat="1" applyFont="1" applyFill="1" applyBorder="1" applyAlignment="1">
      <alignment vertical="center"/>
    </xf>
    <xf numFmtId="166" fontId="14" fillId="7" borderId="14" xfId="0" applyNumberFormat="1" applyFont="1" applyFill="1" applyBorder="1" applyAlignment="1">
      <alignment horizontal="right" vertical="center"/>
    </xf>
    <xf numFmtId="166" fontId="9" fillId="6" borderId="14" xfId="0" applyNumberFormat="1" applyFont="1" applyFill="1" applyBorder="1" applyAlignment="1">
      <alignment vertical="center"/>
    </xf>
    <xf numFmtId="41" fontId="9" fillId="0" borderId="0" xfId="0" applyNumberFormat="1" applyFont="1" applyAlignment="1">
      <alignment horizontal="center"/>
    </xf>
    <xf numFmtId="166" fontId="6" fillId="0" borderId="19" xfId="0" applyNumberFormat="1" applyFont="1" applyBorder="1"/>
    <xf numFmtId="166" fontId="6" fillId="3" borderId="14" xfId="0" applyNumberFormat="1" applyFont="1" applyFill="1" applyBorder="1"/>
    <xf numFmtId="164" fontId="8" fillId="5" borderId="20" xfId="0" applyNumberFormat="1" applyFont="1" applyFill="1" applyBorder="1" applyAlignment="1">
      <alignment vertical="center"/>
    </xf>
    <xf numFmtId="166" fontId="5" fillId="0" borderId="0" xfId="0" applyNumberFormat="1" applyFont="1"/>
    <xf numFmtId="166" fontId="6" fillId="0" borderId="0" xfId="0" applyNumberFormat="1" applyFont="1" applyAlignment="1">
      <alignment horizontal="right"/>
    </xf>
    <xf numFmtId="166" fontId="1" fillId="0" borderId="0" xfId="0" applyNumberFormat="1" applyFont="1"/>
    <xf numFmtId="0" fontId="7" fillId="0" borderId="0" xfId="0" applyFont="1" applyAlignment="1">
      <alignment horizontal="left" vertical="center" wrapText="1"/>
    </xf>
    <xf numFmtId="166" fontId="6" fillId="0" borderId="19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166" fontId="6" fillId="0" borderId="0" xfId="0" applyNumberFormat="1" applyFont="1" applyAlignment="1">
      <alignment vertical="center"/>
    </xf>
    <xf numFmtId="164" fontId="2" fillId="0" borderId="0" xfId="0" applyNumberFormat="1" applyFont="1"/>
    <xf numFmtId="0" fontId="16" fillId="0" borderId="0" xfId="0" applyFont="1"/>
    <xf numFmtId="166" fontId="6" fillId="8" borderId="21" xfId="0" applyNumberFormat="1" applyFont="1" applyFill="1" applyBorder="1" applyAlignment="1">
      <alignment vertical="center"/>
    </xf>
    <xf numFmtId="166" fontId="6" fillId="8" borderId="21" xfId="0" applyNumberFormat="1" applyFont="1" applyFill="1" applyBorder="1" applyAlignment="1">
      <alignment horizontal="right" vertical="center"/>
    </xf>
    <xf numFmtId="164" fontId="16" fillId="0" borderId="0" xfId="0" applyNumberFormat="1" applyFont="1"/>
    <xf numFmtId="166" fontId="16" fillId="0" borderId="0" xfId="0" applyNumberFormat="1" applyFont="1" applyAlignment="1">
      <alignment vertical="center"/>
    </xf>
    <xf numFmtId="166" fontId="17" fillId="2" borderId="6" xfId="0" applyNumberFormat="1" applyFont="1" applyFill="1" applyBorder="1" applyAlignment="1">
      <alignment horizontal="center" vertical="center"/>
    </xf>
    <xf numFmtId="166" fontId="17" fillId="2" borderId="6" xfId="0" applyNumberFormat="1" applyFont="1" applyFill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6" xfId="0" applyFont="1" applyBorder="1" applyAlignment="1">
      <alignment vertical="top" wrapText="1"/>
    </xf>
    <xf numFmtId="166" fontId="17" fillId="2" borderId="2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23" xfId="0" applyFont="1" applyBorder="1" applyAlignment="1">
      <alignment vertical="top" wrapText="1"/>
    </xf>
    <xf numFmtId="166" fontId="8" fillId="5" borderId="24" xfId="0" applyNumberFormat="1" applyFont="1" applyFill="1" applyBorder="1" applyAlignment="1">
      <alignment vertical="center"/>
    </xf>
    <xf numFmtId="166" fontId="19" fillId="2" borderId="21" xfId="0" applyNumberFormat="1" applyFont="1" applyFill="1" applyBorder="1" applyAlignment="1">
      <alignment vertical="center"/>
    </xf>
    <xf numFmtId="10" fontId="17" fillId="2" borderId="21" xfId="0" applyNumberFormat="1" applyFont="1" applyFill="1" applyBorder="1" applyAlignment="1">
      <alignment vertical="center"/>
    </xf>
    <xf numFmtId="0" fontId="16" fillId="0" borderId="0" xfId="0" applyFont="1" applyAlignment="1">
      <alignment horizontal="right"/>
    </xf>
    <xf numFmtId="165" fontId="20" fillId="3" borderId="14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16" fillId="8" borderId="25" xfId="0" applyFont="1" applyFill="1" applyBorder="1" applyAlignment="1">
      <alignment horizontal="right" vertical="center"/>
    </xf>
    <xf numFmtId="0" fontId="4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zoomScaleNormal="100" workbookViewId="0">
      <selection activeCell="F13" sqref="F13"/>
    </sheetView>
  </sheetViews>
  <sheetFormatPr defaultColWidth="14.3984375" defaultRowHeight="15" customHeight="1" outlineLevelCol="1"/>
  <cols>
    <col min="1" max="1" width="5.265625" customWidth="1"/>
    <col min="2" max="2" width="21.265625" customWidth="1"/>
    <col min="3" max="3" width="20.86328125" customWidth="1"/>
    <col min="4" max="4" width="22.265625" customWidth="1"/>
    <col min="5" max="5" width="28.73046875" customWidth="1"/>
    <col min="6" max="6" width="15.1328125" customWidth="1"/>
    <col min="7" max="7" width="64.1328125" customWidth="1" outlineLevel="1"/>
    <col min="8" max="8" width="16.73046875" customWidth="1" outlineLevel="1"/>
    <col min="9" max="9" width="88.265625" customWidth="1" outlineLevel="1"/>
    <col min="10" max="10" width="7.265625" customWidth="1"/>
    <col min="11" max="11" width="2.1328125" customWidth="1"/>
    <col min="12" max="12" width="27.265625" customWidth="1"/>
    <col min="13" max="13" width="21.265625" customWidth="1"/>
    <col min="14" max="16" width="8.73046875" customWidth="1"/>
    <col min="17" max="17" width="20.73046875" customWidth="1"/>
    <col min="18" max="18" width="11.265625" customWidth="1"/>
    <col min="19" max="26" width="12.73046875" customWidth="1"/>
  </cols>
  <sheetData>
    <row r="1" spans="1:26" ht="12" customHeight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>
      <c r="A2" s="1"/>
      <c r="B2" s="74" t="s">
        <v>0</v>
      </c>
      <c r="C2" s="75"/>
      <c r="D2" s="75"/>
      <c r="E2" s="75"/>
      <c r="F2" s="75"/>
      <c r="G2" s="75"/>
      <c r="H2" s="75"/>
      <c r="I2" s="7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3"/>
      <c r="B5" s="3"/>
      <c r="C5" s="4" t="s">
        <v>1</v>
      </c>
      <c r="D5" s="4" t="s">
        <v>2</v>
      </c>
      <c r="E5" s="4" t="s">
        <v>3</v>
      </c>
      <c r="F5" s="1"/>
      <c r="G5" s="5" t="s">
        <v>4</v>
      </c>
      <c r="H5" s="6">
        <v>60000</v>
      </c>
      <c r="I5" s="7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8">
        <v>1</v>
      </c>
      <c r="B6" s="9" t="s">
        <v>6</v>
      </c>
      <c r="C6" s="10"/>
      <c r="D6" s="11">
        <f>-IF((C6+C7)*50%&gt;100000,100000,(C6+C7)*50%)</f>
        <v>0</v>
      </c>
      <c r="E6" s="12">
        <f>C6+C7+D6</f>
        <v>0</v>
      </c>
      <c r="F6" s="1"/>
      <c r="G6" s="5" t="s">
        <v>7</v>
      </c>
      <c r="H6" s="13"/>
      <c r="I6" s="7" t="s">
        <v>8</v>
      </c>
      <c r="J6" s="1"/>
      <c r="K6" s="1"/>
      <c r="L6" s="14" t="s">
        <v>9</v>
      </c>
      <c r="M6" s="15" t="s">
        <v>10</v>
      </c>
      <c r="N6" s="15"/>
      <c r="O6" s="14" t="s">
        <v>11</v>
      </c>
      <c r="P6" s="14"/>
      <c r="Q6" s="15" t="s">
        <v>12</v>
      </c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8">
        <v>2</v>
      </c>
      <c r="B7" s="9" t="s">
        <v>13</v>
      </c>
      <c r="C7" s="10">
        <v>0</v>
      </c>
      <c r="D7" s="16"/>
      <c r="E7" s="17"/>
      <c r="F7" s="1"/>
      <c r="G7" s="5" t="s">
        <v>14</v>
      </c>
      <c r="H7" s="18"/>
      <c r="I7" s="19" t="s">
        <v>15</v>
      </c>
      <c r="J7" s="1"/>
      <c r="K7" s="1"/>
      <c r="L7" s="20" t="s">
        <v>16</v>
      </c>
      <c r="M7" s="21">
        <f>IF(E18-0&lt;0,0,IF(E18&gt;150000,150000,E18))</f>
        <v>0</v>
      </c>
      <c r="N7" s="22"/>
      <c r="O7" s="23">
        <v>0</v>
      </c>
      <c r="P7" s="24"/>
      <c r="Q7" s="21">
        <f t="shared" ref="Q7:Q14" si="0">M7*O7</f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8">
        <v>3</v>
      </c>
      <c r="B8" s="25" t="s">
        <v>17</v>
      </c>
      <c r="C8" s="10">
        <v>0</v>
      </c>
      <c r="D8" s="26">
        <f>-IF((C8)*50%&gt;100000,100000,(C8)*50%)</f>
        <v>0</v>
      </c>
      <c r="E8" s="27">
        <f>SUM(C8:D8)</f>
        <v>0</v>
      </c>
      <c r="F8" s="1"/>
      <c r="G8" s="28" t="s">
        <v>18</v>
      </c>
      <c r="H8" s="29"/>
      <c r="I8" s="30" t="s">
        <v>19</v>
      </c>
      <c r="J8" s="1"/>
      <c r="K8" s="1"/>
      <c r="L8" s="20" t="s">
        <v>20</v>
      </c>
      <c r="M8" s="21">
        <f>IF(E18-M7&lt;0,0,IF(E18-M7&gt;150000,150000,E18-M7))</f>
        <v>0</v>
      </c>
      <c r="N8" s="22"/>
      <c r="O8" s="23">
        <v>0.05</v>
      </c>
      <c r="P8" s="24"/>
      <c r="Q8" s="21">
        <f t="shared" si="0"/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8">
        <v>4</v>
      </c>
      <c r="B9" s="9" t="s">
        <v>21</v>
      </c>
      <c r="C9" s="10">
        <v>0</v>
      </c>
      <c r="D9" s="26" t="s">
        <v>22</v>
      </c>
      <c r="E9" s="31">
        <f>SUM(C9)</f>
        <v>0</v>
      </c>
      <c r="F9" s="1"/>
      <c r="G9" s="5" t="s">
        <v>23</v>
      </c>
      <c r="H9" s="29"/>
      <c r="I9" s="32" t="s">
        <v>24</v>
      </c>
      <c r="J9" s="1"/>
      <c r="K9" s="1"/>
      <c r="L9" s="20" t="s">
        <v>25</v>
      </c>
      <c r="M9" s="21">
        <f>IF(E18-(M7+M8)&lt;0,0,IF(E18-(M7+M8)&gt;200000,200000,E18-(M7+M8)))</f>
        <v>0</v>
      </c>
      <c r="N9" s="22"/>
      <c r="O9" s="23">
        <v>0.1</v>
      </c>
      <c r="P9" s="24"/>
      <c r="Q9" s="21">
        <f t="shared" si="0"/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8">
        <v>5</v>
      </c>
      <c r="B10" s="9" t="s">
        <v>26</v>
      </c>
      <c r="C10" s="10"/>
      <c r="D10" s="33">
        <f>-SUM(C10*30/100)</f>
        <v>0</v>
      </c>
      <c r="E10" s="31">
        <f>SUM(C10:D10)</f>
        <v>0</v>
      </c>
      <c r="F10" s="1"/>
      <c r="G10" s="5" t="s">
        <v>27</v>
      </c>
      <c r="H10" s="34"/>
      <c r="I10" s="7" t="s">
        <v>28</v>
      </c>
      <c r="J10" s="1"/>
      <c r="K10" s="1"/>
      <c r="L10" s="20" t="s">
        <v>29</v>
      </c>
      <c r="M10" s="21">
        <f>IF(E18-(M7+M8+M9)&lt;0,0,IF(E18-(M7+M8+M9)&gt;250000,250000,E18-(M7+M8+M9)))</f>
        <v>0</v>
      </c>
      <c r="N10" s="22"/>
      <c r="O10" s="23">
        <v>0.15</v>
      </c>
      <c r="P10" s="24"/>
      <c r="Q10" s="21">
        <f t="shared" si="0"/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8">
        <v>6</v>
      </c>
      <c r="B11" s="9" t="s">
        <v>30</v>
      </c>
      <c r="C11" s="10"/>
      <c r="D11" s="33">
        <f t="shared" ref="D11:D12" si="1">-C11*0.6</f>
        <v>0</v>
      </c>
      <c r="E11" s="31">
        <f t="shared" ref="E11:E13" si="2">C11+D11</f>
        <v>0</v>
      </c>
      <c r="F11" s="1"/>
      <c r="G11" s="5" t="s">
        <v>31</v>
      </c>
      <c r="H11" s="29"/>
      <c r="I11" s="35" t="s">
        <v>32</v>
      </c>
      <c r="J11" s="1"/>
      <c r="K11" s="1"/>
      <c r="L11" s="36" t="s">
        <v>33</v>
      </c>
      <c r="M11" s="21">
        <f>IF(E18-(M7+M8+M9+M10)&lt;0,0,IF(E18-(M7+M8+M9+M10)&gt;250000,250000,E18-(M7+M8+M9+M10)))</f>
        <v>0</v>
      </c>
      <c r="N11" s="22"/>
      <c r="O11" s="23">
        <v>0.2</v>
      </c>
      <c r="P11" s="24"/>
      <c r="Q11" s="21">
        <f t="shared" si="0"/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8">
        <v>7</v>
      </c>
      <c r="B12" s="9" t="s">
        <v>34</v>
      </c>
      <c r="C12" s="10"/>
      <c r="D12" s="33">
        <f t="shared" si="1"/>
        <v>0</v>
      </c>
      <c r="E12" s="31">
        <f t="shared" si="2"/>
        <v>0</v>
      </c>
      <c r="F12" s="1"/>
      <c r="G12" s="28" t="s">
        <v>35</v>
      </c>
      <c r="H12" s="29"/>
      <c r="I12" s="37" t="s">
        <v>36</v>
      </c>
      <c r="J12" s="1"/>
      <c r="K12" s="1"/>
      <c r="L12" s="36" t="s">
        <v>37</v>
      </c>
      <c r="M12" s="21">
        <f>IF(E18-(M7+M8+M9+M10+M11)&lt;0,0,IF(E18-(M7+M8+M9+M10+M11)&gt;1000000,1000000,E18-(M7+M8+M9+M10+M11)))</f>
        <v>0</v>
      </c>
      <c r="N12" s="22"/>
      <c r="O12" s="23">
        <v>0.25</v>
      </c>
      <c r="P12" s="24"/>
      <c r="Q12" s="21">
        <f t="shared" si="0"/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8">
        <v>8</v>
      </c>
      <c r="B13" s="9" t="s">
        <v>38</v>
      </c>
      <c r="C13" s="38"/>
      <c r="D13" s="39">
        <f>-C13*0.6</f>
        <v>0</v>
      </c>
      <c r="E13" s="40">
        <f t="shared" si="2"/>
        <v>0</v>
      </c>
      <c r="F13" s="1"/>
      <c r="G13" s="5" t="s">
        <v>39</v>
      </c>
      <c r="H13" s="29"/>
      <c r="I13" s="32" t="s">
        <v>40</v>
      </c>
      <c r="J13" s="1"/>
      <c r="K13" s="1"/>
      <c r="L13" s="41" t="s">
        <v>41</v>
      </c>
      <c r="M13" s="21">
        <f>IF(E18-(M7+M8+M9+M10+M11+M12)&lt;0,0,IF(E18-(M7+M8+M9+M10+M11+M12)&gt;3000000,3000000,E18-(M7+M8+M9+M10+M11+M12)))</f>
        <v>0</v>
      </c>
      <c r="N13" s="22"/>
      <c r="O13" s="23">
        <v>0.3</v>
      </c>
      <c r="P13" s="24"/>
      <c r="Q13" s="21">
        <f t="shared" si="0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3"/>
      <c r="B14" s="3"/>
      <c r="C14" s="42">
        <f t="shared" ref="C14:E14" si="3">SUM(C6:C13)</f>
        <v>0</v>
      </c>
      <c r="D14" s="42">
        <f t="shared" si="3"/>
        <v>0</v>
      </c>
      <c r="E14" s="43">
        <f t="shared" si="3"/>
        <v>0</v>
      </c>
      <c r="F14" s="1"/>
      <c r="G14" s="5" t="s">
        <v>42</v>
      </c>
      <c r="H14" s="44"/>
      <c r="I14" s="7" t="s">
        <v>43</v>
      </c>
      <c r="J14" s="1"/>
      <c r="K14" s="1"/>
      <c r="L14" s="36">
        <v>5000001</v>
      </c>
      <c r="M14" s="22">
        <f>IF(E18-(M7+M8+M9+M10+M11+M12+M13)&lt;0,0,E18-(M7+M8+M9+M10+M11+M12+M13))</f>
        <v>0</v>
      </c>
      <c r="N14" s="22"/>
      <c r="O14" s="23">
        <v>0.35</v>
      </c>
      <c r="P14" s="24"/>
      <c r="Q14" s="21">
        <f t="shared" si="0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3"/>
      <c r="B15" s="3"/>
      <c r="C15" s="45"/>
      <c r="D15" s="46"/>
      <c r="E15" s="47"/>
      <c r="F15" s="1"/>
      <c r="G15" s="48" t="s">
        <v>44</v>
      </c>
      <c r="H15" s="13"/>
      <c r="I15" s="7" t="s">
        <v>45</v>
      </c>
      <c r="J15" s="1"/>
      <c r="K15" s="1"/>
      <c r="L15" s="24"/>
      <c r="M15" s="49">
        <f>SUM(M7:M14)</f>
        <v>0</v>
      </c>
      <c r="N15" s="50"/>
      <c r="O15" s="51"/>
      <c r="P15" s="51"/>
      <c r="Q15" s="49">
        <f>SUM(Q7:Q14)</f>
        <v>0</v>
      </c>
      <c r="R15" s="52" t="s">
        <v>46</v>
      </c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1"/>
      <c r="B16" s="1"/>
      <c r="C16" s="53"/>
      <c r="D16" s="54" t="s">
        <v>47</v>
      </c>
      <c r="E16" s="55">
        <f>E14</f>
        <v>0</v>
      </c>
      <c r="F16" s="1"/>
      <c r="G16" s="5" t="s">
        <v>48</v>
      </c>
      <c r="H16" s="13"/>
      <c r="I16" s="7" t="s">
        <v>49</v>
      </c>
      <c r="J16" s="1"/>
      <c r="K16" s="1"/>
      <c r="L16" s="1"/>
      <c r="M16" s="1"/>
      <c r="N16" s="1"/>
      <c r="O16" s="5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1"/>
      <c r="B17" s="1"/>
      <c r="C17" s="53"/>
      <c r="D17" s="54" t="s">
        <v>50</v>
      </c>
      <c r="E17" s="55">
        <f>H31</f>
        <v>60000</v>
      </c>
      <c r="F17" s="1"/>
      <c r="G17" s="5" t="s">
        <v>51</v>
      </c>
      <c r="H17" s="44"/>
      <c r="I17" s="7" t="s">
        <v>52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1"/>
      <c r="B18" s="57"/>
      <c r="C18" s="58"/>
      <c r="D18" s="59" t="s">
        <v>53</v>
      </c>
      <c r="E18" s="58">
        <f>E14-H31</f>
        <v>-60000</v>
      </c>
      <c r="F18" s="1"/>
      <c r="G18" s="28" t="s">
        <v>54</v>
      </c>
      <c r="H18" s="44"/>
      <c r="I18" s="7" t="s">
        <v>55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1"/>
      <c r="B19" s="60"/>
      <c r="C19" s="61"/>
      <c r="D19" s="62" t="s">
        <v>56</v>
      </c>
      <c r="E19" s="63">
        <f>IF(E18&gt;5000000,((E18-5000000)*35%)+1265000,IF(E18&gt;2000000,((E18-2000000)*30%)+365000,IF(E18&gt;1000000,((E18-1000000)*25%)+115000,IF(E18&gt;750000,((E18-750000)*20%)+65000,IF(E18&gt;500000,((E18-500000)*15%)+27500,IF(E18&gt;300000,((E18-300000)*10%)+7500,IF(E18&gt;150000,((E18-150000)*5%)+0,0)))))))</f>
        <v>0</v>
      </c>
      <c r="F19" s="1"/>
      <c r="G19" s="5" t="s">
        <v>57</v>
      </c>
      <c r="H19" s="13"/>
      <c r="I19" s="7" t="s">
        <v>58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1"/>
      <c r="B20" s="57"/>
      <c r="C20" s="64"/>
      <c r="D20" s="64"/>
      <c r="E20" s="64"/>
      <c r="F20" s="1"/>
      <c r="G20" s="5" t="s">
        <v>59</v>
      </c>
      <c r="H20" s="13"/>
      <c r="I20" s="7" t="s">
        <v>60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"/>
      <c r="B21" s="1"/>
      <c r="C21" s="64"/>
      <c r="D21" s="62" t="s">
        <v>61</v>
      </c>
      <c r="E21" s="63">
        <f>(C13-C6)*0.5%</f>
        <v>0</v>
      </c>
      <c r="F21" s="1"/>
      <c r="G21" s="5" t="s">
        <v>62</v>
      </c>
      <c r="H21" s="13"/>
      <c r="I21" s="19" t="s">
        <v>63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57"/>
      <c r="B22" s="1"/>
      <c r="C22" s="64"/>
      <c r="D22" s="64"/>
      <c r="E22" s="64"/>
      <c r="F22" s="1"/>
      <c r="G22" s="28" t="s">
        <v>64</v>
      </c>
      <c r="H22" s="13"/>
      <c r="I22" s="65" t="s">
        <v>65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" customHeight="1">
      <c r="A23" s="57"/>
      <c r="B23" s="1"/>
      <c r="C23" s="64"/>
      <c r="D23" s="66" t="s">
        <v>66</v>
      </c>
      <c r="E23" s="63">
        <f>IF(E19&gt;E21,E19,E21)</f>
        <v>0</v>
      </c>
      <c r="F23" s="67" t="str">
        <f>IF(E19&gt;E21,"คำนวณวิธีที่1","คำนวณวิธี2.")</f>
        <v>คำนวณวิธี2.</v>
      </c>
      <c r="G23" s="5" t="s">
        <v>67</v>
      </c>
      <c r="H23" s="13"/>
      <c r="I23" s="68" t="s">
        <v>68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" customHeight="1">
      <c r="A24" s="57"/>
      <c r="B24" s="1"/>
      <c r="C24" s="61"/>
      <c r="D24" s="54" t="s">
        <v>69</v>
      </c>
      <c r="E24" s="69">
        <f>(C7*0.03)+(C10*0.05)</f>
        <v>0</v>
      </c>
      <c r="F24" s="1"/>
      <c r="G24" s="5" t="s">
        <v>70</v>
      </c>
      <c r="H24" s="44"/>
      <c r="I24" s="68" t="s">
        <v>71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" customHeight="1">
      <c r="A25" s="1"/>
      <c r="B25" s="1"/>
      <c r="C25" s="64"/>
      <c r="D25" s="66" t="s">
        <v>72</v>
      </c>
      <c r="E25" s="70">
        <f>E23-E24</f>
        <v>0</v>
      </c>
      <c r="F25" s="1"/>
      <c r="G25" s="5" t="s">
        <v>73</v>
      </c>
      <c r="H25" s="13"/>
      <c r="I25" s="7" t="s">
        <v>74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>
      <c r="A26" s="1"/>
      <c r="B26" s="1"/>
      <c r="C26" s="77" t="s">
        <v>75</v>
      </c>
      <c r="D26" s="78"/>
      <c r="E26" s="71" t="e">
        <f>E25/C14</f>
        <v>#DIV/0!</v>
      </c>
      <c r="F26" s="1"/>
      <c r="G26" s="5" t="s">
        <v>76</v>
      </c>
      <c r="H26" s="13"/>
      <c r="I26" s="7" t="s">
        <v>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" customHeight="1">
      <c r="A27" s="1"/>
      <c r="B27" s="1"/>
      <c r="C27" s="1"/>
      <c r="D27" s="1"/>
      <c r="E27" s="1"/>
      <c r="F27" s="1"/>
      <c r="G27" s="5" t="s">
        <v>78</v>
      </c>
      <c r="H27" s="13"/>
      <c r="I27" s="7" t="s">
        <v>79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>
      <c r="A28" s="1"/>
      <c r="B28" s="1"/>
      <c r="C28" s="1"/>
      <c r="D28" s="1"/>
      <c r="E28" s="1"/>
      <c r="F28" s="1"/>
      <c r="G28" s="5" t="s">
        <v>80</v>
      </c>
      <c r="H28" s="13"/>
      <c r="I28" s="7" t="s">
        <v>81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customHeight="1">
      <c r="A29" s="1"/>
      <c r="B29" s="1"/>
      <c r="C29" s="1"/>
      <c r="D29" s="1"/>
      <c r="E29" s="1"/>
      <c r="F29" s="1"/>
      <c r="G29" s="5" t="s">
        <v>82</v>
      </c>
      <c r="H29" s="13"/>
      <c r="I29" s="7" t="s">
        <v>83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3" customHeight="1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3" customHeight="1">
      <c r="A31" s="1"/>
      <c r="B31" s="1"/>
      <c r="C31" s="1"/>
      <c r="D31" s="1"/>
      <c r="E31" s="1"/>
      <c r="F31" s="1"/>
      <c r="G31" s="72" t="s">
        <v>84</v>
      </c>
      <c r="H31" s="73">
        <f>SUM(H5:H29)</f>
        <v>60000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3" customHeight="1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C26:D2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3984375" defaultRowHeight="15" customHeight="1" outlineLevelCol="1"/>
  <cols>
    <col min="1" max="1" width="5.265625" customWidth="1"/>
    <col min="2" max="2" width="21.265625" customWidth="1"/>
    <col min="3" max="3" width="20.86328125" customWidth="1"/>
    <col min="4" max="4" width="22.265625" customWidth="1"/>
    <col min="5" max="5" width="28.73046875" customWidth="1"/>
    <col min="6" max="6" width="8.73046875" customWidth="1"/>
    <col min="7" max="7" width="64.1328125" customWidth="1" outlineLevel="1"/>
    <col min="8" max="8" width="16.73046875" customWidth="1" outlineLevel="1"/>
    <col min="9" max="9" width="88.265625" customWidth="1" outlineLevel="1"/>
    <col min="10" max="10" width="7.265625" customWidth="1"/>
    <col min="11" max="11" width="2.1328125" customWidth="1"/>
    <col min="12" max="12" width="27.265625" customWidth="1"/>
    <col min="13" max="13" width="21.265625" customWidth="1"/>
    <col min="14" max="16" width="8.73046875" customWidth="1"/>
    <col min="17" max="17" width="20.73046875" customWidth="1"/>
    <col min="18" max="18" width="11.265625" customWidth="1"/>
    <col min="19" max="26" width="12.73046875" customWidth="1"/>
  </cols>
  <sheetData>
    <row r="1" spans="1:26" ht="12" customHeight="1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" customHeight="1">
      <c r="A2" s="1"/>
      <c r="B2" s="74" t="s">
        <v>0</v>
      </c>
      <c r="C2" s="75"/>
      <c r="D2" s="75"/>
      <c r="E2" s="75"/>
      <c r="F2" s="75"/>
      <c r="G2" s="75"/>
      <c r="H2" s="75"/>
      <c r="I2" s="7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>
      <c r="A3" s="1"/>
      <c r="B3" s="1"/>
      <c r="C3" s="1"/>
      <c r="D3" s="1"/>
      <c r="E3" s="1"/>
      <c r="F3" s="1"/>
      <c r="G3" s="1"/>
      <c r="H3" s="1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>
      <c r="A4" s="1"/>
      <c r="B4" s="1"/>
      <c r="C4" s="1"/>
      <c r="D4" s="1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>
      <c r="A5" s="3"/>
      <c r="B5" s="3"/>
      <c r="C5" s="4" t="s">
        <v>1</v>
      </c>
      <c r="D5" s="4" t="s">
        <v>2</v>
      </c>
      <c r="E5" s="4" t="s">
        <v>3</v>
      </c>
      <c r="F5" s="1"/>
      <c r="G5" s="5" t="s">
        <v>4</v>
      </c>
      <c r="H5" s="6">
        <v>60000</v>
      </c>
      <c r="I5" s="7" t="s">
        <v>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>
      <c r="A6" s="8">
        <v>1</v>
      </c>
      <c r="B6" s="9" t="s">
        <v>6</v>
      </c>
      <c r="C6" s="10"/>
      <c r="D6" s="11">
        <f>-IF((C6+C7)*50%&gt;100000,100000,(C6+C7)*50%)</f>
        <v>0</v>
      </c>
      <c r="E6" s="12">
        <f>C6+C7+D6</f>
        <v>0</v>
      </c>
      <c r="F6" s="1"/>
      <c r="G6" s="5" t="s">
        <v>7</v>
      </c>
      <c r="H6" s="13">
        <v>60000</v>
      </c>
      <c r="I6" s="7" t="s">
        <v>8</v>
      </c>
      <c r="J6" s="1"/>
      <c r="K6" s="1"/>
      <c r="L6" s="14" t="s">
        <v>9</v>
      </c>
      <c r="M6" s="15" t="s">
        <v>10</v>
      </c>
      <c r="N6" s="15"/>
      <c r="O6" s="14" t="s">
        <v>11</v>
      </c>
      <c r="P6" s="14"/>
      <c r="Q6" s="15" t="s">
        <v>12</v>
      </c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8">
        <v>2</v>
      </c>
      <c r="B7" s="9" t="s">
        <v>13</v>
      </c>
      <c r="C7" s="10">
        <v>0</v>
      </c>
      <c r="D7" s="16"/>
      <c r="E7" s="17"/>
      <c r="F7" s="1"/>
      <c r="G7" s="5" t="s">
        <v>14</v>
      </c>
      <c r="H7" s="18">
        <v>60000</v>
      </c>
      <c r="I7" s="19" t="s">
        <v>15</v>
      </c>
      <c r="J7" s="1"/>
      <c r="K7" s="1"/>
      <c r="L7" s="20" t="s">
        <v>16</v>
      </c>
      <c r="M7" s="21">
        <f>IF(E18-0&lt;0,0,IF(E18&gt;150000,150000,E18))</f>
        <v>150000</v>
      </c>
      <c r="N7" s="22"/>
      <c r="O7" s="23">
        <v>0</v>
      </c>
      <c r="P7" s="24"/>
      <c r="Q7" s="21">
        <f t="shared" ref="Q7:Q14" si="0">M7*O7</f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8">
        <v>3</v>
      </c>
      <c r="B8" s="25" t="s">
        <v>17</v>
      </c>
      <c r="C8" s="10">
        <v>0</v>
      </c>
      <c r="D8" s="26">
        <f>-IF((C8)*50%&gt;100000,100000,(C8)*50%)</f>
        <v>0</v>
      </c>
      <c r="E8" s="27">
        <f>SUM(C8:D8)</f>
        <v>0</v>
      </c>
      <c r="F8" s="1"/>
      <c r="G8" s="28" t="s">
        <v>18</v>
      </c>
      <c r="H8" s="29"/>
      <c r="I8" s="30" t="s">
        <v>19</v>
      </c>
      <c r="J8" s="1"/>
      <c r="K8" s="1"/>
      <c r="L8" s="20" t="s">
        <v>20</v>
      </c>
      <c r="M8" s="21">
        <f>IF(E18-M7&lt;0,0,IF(E18-M7&gt;150000,150000,E18-M7))</f>
        <v>150000</v>
      </c>
      <c r="N8" s="22"/>
      <c r="O8" s="23">
        <v>0.05</v>
      </c>
      <c r="P8" s="24"/>
      <c r="Q8" s="21">
        <f t="shared" si="0"/>
        <v>7500</v>
      </c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8">
        <v>4</v>
      </c>
      <c r="B9" s="9" t="s">
        <v>21</v>
      </c>
      <c r="C9" s="10">
        <v>0</v>
      </c>
      <c r="D9" s="26" t="s">
        <v>22</v>
      </c>
      <c r="E9" s="31">
        <f>SUM(C9)</f>
        <v>0</v>
      </c>
      <c r="F9" s="1"/>
      <c r="G9" s="5" t="s">
        <v>23</v>
      </c>
      <c r="H9" s="29"/>
      <c r="I9" s="32" t="s">
        <v>24</v>
      </c>
      <c r="J9" s="1"/>
      <c r="K9" s="1"/>
      <c r="L9" s="20" t="s">
        <v>25</v>
      </c>
      <c r="M9" s="21">
        <f>IF(E18-(M7+M8)&lt;0,0,IF(E18-(M7+M8)&gt;200000,200000,E18-(M7+M8)))</f>
        <v>200000</v>
      </c>
      <c r="N9" s="22"/>
      <c r="O9" s="23">
        <v>0.1</v>
      </c>
      <c r="P9" s="24"/>
      <c r="Q9" s="21">
        <f t="shared" si="0"/>
        <v>20000</v>
      </c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>
      <c r="A10" s="8">
        <v>5</v>
      </c>
      <c r="B10" s="9" t="s">
        <v>26</v>
      </c>
      <c r="C10" s="10"/>
      <c r="D10" s="33">
        <f>-SUM(C10*30/100)</f>
        <v>0</v>
      </c>
      <c r="E10" s="31">
        <f>SUM(C10:D10)</f>
        <v>0</v>
      </c>
      <c r="F10" s="1"/>
      <c r="G10" s="5" t="s">
        <v>27</v>
      </c>
      <c r="H10" s="34">
        <v>60000</v>
      </c>
      <c r="I10" s="7" t="s">
        <v>28</v>
      </c>
      <c r="J10" s="1"/>
      <c r="K10" s="1"/>
      <c r="L10" s="20" t="s">
        <v>29</v>
      </c>
      <c r="M10" s="21">
        <f>IF(E18-(M7+M8+M9)&lt;0,0,IF(E18-(M7+M8+M9)&gt;250000,250000,E18-(M7+M8+M9)))</f>
        <v>250000</v>
      </c>
      <c r="N10" s="22"/>
      <c r="O10" s="23">
        <v>0.15</v>
      </c>
      <c r="P10" s="24"/>
      <c r="Q10" s="21">
        <f t="shared" si="0"/>
        <v>37500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>
      <c r="A11" s="8">
        <v>6</v>
      </c>
      <c r="B11" s="9" t="s">
        <v>30</v>
      </c>
      <c r="C11" s="10">
        <v>0</v>
      </c>
      <c r="D11" s="33">
        <f t="shared" ref="D11:D12" si="1">-C11*0.6</f>
        <v>0</v>
      </c>
      <c r="E11" s="31">
        <f t="shared" ref="E11:E13" si="2">C11+D11</f>
        <v>0</v>
      </c>
      <c r="F11" s="1"/>
      <c r="G11" s="5" t="s">
        <v>31</v>
      </c>
      <c r="H11" s="29"/>
      <c r="I11" s="35" t="s">
        <v>32</v>
      </c>
      <c r="J11" s="1"/>
      <c r="K11" s="1"/>
      <c r="L11" s="36" t="s">
        <v>33</v>
      </c>
      <c r="M11" s="21">
        <f>IF(E18-(M7+M8+M9+M10)&lt;0,0,IF(E18-(M7+M8+M9+M10)&gt;250000,250000,E18-(M7+M8+M9+M10)))</f>
        <v>250000</v>
      </c>
      <c r="N11" s="22"/>
      <c r="O11" s="23">
        <v>0.2</v>
      </c>
      <c r="P11" s="24"/>
      <c r="Q11" s="21">
        <f t="shared" si="0"/>
        <v>50000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8">
        <v>7</v>
      </c>
      <c r="B12" s="9" t="s">
        <v>34</v>
      </c>
      <c r="C12" s="10">
        <v>0</v>
      </c>
      <c r="D12" s="33">
        <f t="shared" si="1"/>
        <v>0</v>
      </c>
      <c r="E12" s="31">
        <f t="shared" si="2"/>
        <v>0</v>
      </c>
      <c r="F12" s="1"/>
      <c r="G12" s="28" t="s">
        <v>35</v>
      </c>
      <c r="H12" s="29"/>
      <c r="I12" s="37" t="s">
        <v>36</v>
      </c>
      <c r="J12" s="1"/>
      <c r="K12" s="1"/>
      <c r="L12" s="36" t="s">
        <v>37</v>
      </c>
      <c r="M12" s="21">
        <f>IF(E18-(M7+M8+M9+M10+M11)&lt;0,0,IF(E18-(M7+M8+M9+M10+M11)&gt;1000000,1000000,E18-(M7+M8+M9+M10+M11)))</f>
        <v>1000000</v>
      </c>
      <c r="N12" s="22"/>
      <c r="O12" s="23">
        <v>0.25</v>
      </c>
      <c r="P12" s="24"/>
      <c r="Q12" s="21">
        <f t="shared" si="0"/>
        <v>250000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8">
        <v>8</v>
      </c>
      <c r="B13" s="9" t="s">
        <v>38</v>
      </c>
      <c r="C13" s="38">
        <v>90000000</v>
      </c>
      <c r="D13" s="39">
        <f>-C13*0.97</f>
        <v>-87300000</v>
      </c>
      <c r="E13" s="40">
        <f t="shared" si="2"/>
        <v>2700000</v>
      </c>
      <c r="F13" s="1"/>
      <c r="G13" s="5" t="s">
        <v>39</v>
      </c>
      <c r="H13" s="29"/>
      <c r="I13" s="32" t="s">
        <v>40</v>
      </c>
      <c r="J13" s="1"/>
      <c r="K13" s="1"/>
      <c r="L13" s="41" t="s">
        <v>41</v>
      </c>
      <c r="M13" s="21">
        <f>IF(E18-(M7+M8+M9+M10+M11+M12)&lt;0,0,IF(E18-(M7+M8+M9+M10+M11+M12)&gt;3000000,3000000,E18-(M7+M8+M9+M10+M11+M12)))</f>
        <v>260000</v>
      </c>
      <c r="N13" s="22"/>
      <c r="O13" s="23">
        <v>0.3</v>
      </c>
      <c r="P13" s="24"/>
      <c r="Q13" s="21">
        <f t="shared" si="0"/>
        <v>78000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3"/>
      <c r="B14" s="3"/>
      <c r="C14" s="42">
        <f t="shared" ref="C14:E14" si="3">SUM(C6:C13)</f>
        <v>90000000</v>
      </c>
      <c r="D14" s="42">
        <f t="shared" si="3"/>
        <v>-87300000</v>
      </c>
      <c r="E14" s="43">
        <f t="shared" si="3"/>
        <v>2700000</v>
      </c>
      <c r="F14" s="1"/>
      <c r="G14" s="5" t="s">
        <v>42</v>
      </c>
      <c r="H14" s="44">
        <v>100000</v>
      </c>
      <c r="I14" s="7" t="s">
        <v>43</v>
      </c>
      <c r="J14" s="1"/>
      <c r="K14" s="1"/>
      <c r="L14" s="36">
        <v>5000001</v>
      </c>
      <c r="M14" s="22">
        <f>IF(E18-(M7+M8+M9+M10+M11+M12+M13)&lt;0,0,E18-(M7+M8+M9+M10+M11+M12+M13))</f>
        <v>0</v>
      </c>
      <c r="N14" s="22"/>
      <c r="O14" s="23">
        <v>0.35</v>
      </c>
      <c r="P14" s="24"/>
      <c r="Q14" s="21">
        <f t="shared" si="0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3"/>
      <c r="B15" s="3"/>
      <c r="C15" s="45"/>
      <c r="D15" s="46"/>
      <c r="E15" s="47"/>
      <c r="F15" s="1"/>
      <c r="G15" s="48" t="s">
        <v>44</v>
      </c>
      <c r="H15" s="13"/>
      <c r="I15" s="7" t="s">
        <v>45</v>
      </c>
      <c r="J15" s="1"/>
      <c r="K15" s="1"/>
      <c r="L15" s="24"/>
      <c r="M15" s="49">
        <f>SUM(M7:M14)</f>
        <v>2260000</v>
      </c>
      <c r="N15" s="50"/>
      <c r="O15" s="51"/>
      <c r="P15" s="51"/>
      <c r="Q15" s="49">
        <f>SUM(Q7:Q14)</f>
        <v>443000</v>
      </c>
      <c r="R15" s="52" t="s">
        <v>46</v>
      </c>
      <c r="S15" s="1"/>
      <c r="T15" s="1"/>
      <c r="U15" s="1"/>
      <c r="V15" s="1"/>
      <c r="W15" s="1"/>
      <c r="X15" s="1"/>
      <c r="Y15" s="1"/>
      <c r="Z15" s="1"/>
    </row>
    <row r="16" spans="1:26" ht="30" customHeight="1">
      <c r="A16" s="1"/>
      <c r="B16" s="1"/>
      <c r="C16" s="53"/>
      <c r="D16" s="54" t="s">
        <v>47</v>
      </c>
      <c r="E16" s="55">
        <f>E14</f>
        <v>2700000</v>
      </c>
      <c r="F16" s="1"/>
      <c r="G16" s="5" t="s">
        <v>48</v>
      </c>
      <c r="H16" s="13"/>
      <c r="I16" s="7" t="s">
        <v>49</v>
      </c>
      <c r="J16" s="1"/>
      <c r="K16" s="1"/>
      <c r="L16" s="1"/>
      <c r="M16" s="1"/>
      <c r="N16" s="1"/>
      <c r="O16" s="5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1"/>
      <c r="B17" s="1"/>
      <c r="C17" s="53"/>
      <c r="D17" s="54" t="s">
        <v>50</v>
      </c>
      <c r="E17" s="55">
        <f>H31</f>
        <v>440000</v>
      </c>
      <c r="F17" s="1"/>
      <c r="G17" s="5" t="s">
        <v>51</v>
      </c>
      <c r="H17" s="44"/>
      <c r="I17" s="7" t="s">
        <v>52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1"/>
      <c r="B18" s="57"/>
      <c r="C18" s="58"/>
      <c r="D18" s="59" t="s">
        <v>53</v>
      </c>
      <c r="E18" s="58">
        <f>E14-H31</f>
        <v>2260000</v>
      </c>
      <c r="F18" s="1"/>
      <c r="G18" s="28" t="s">
        <v>54</v>
      </c>
      <c r="H18" s="44"/>
      <c r="I18" s="7" t="s">
        <v>55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1"/>
      <c r="B19" s="60"/>
      <c r="C19" s="61"/>
      <c r="D19" s="62" t="s">
        <v>56</v>
      </c>
      <c r="E19" s="63">
        <f>IF(E18&gt;5000000,((E18-5000000)*35%)+1265000,IF(E18&gt;2000000,((E18-2000000)*30%)+365000,IF(E18&gt;1000000,((E18-1000000)*25%)+115000,IF(E18&gt;750000,((E18-750000)*20%)+65000,IF(E18&gt;500000,((E18-500000)*15%)+27500,IF(E18&gt;300000,((E18-300000)*10%)+7500,IF(E18&gt;150000,((E18-150000)*5%)+0,0)))))))</f>
        <v>443000</v>
      </c>
      <c r="F19" s="1"/>
      <c r="G19" s="5" t="s">
        <v>57</v>
      </c>
      <c r="H19" s="13"/>
      <c r="I19" s="7" t="s">
        <v>58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1"/>
      <c r="B20" s="57"/>
      <c r="C20" s="64"/>
      <c r="D20" s="64"/>
      <c r="E20" s="64"/>
      <c r="F20" s="1"/>
      <c r="G20" s="5" t="s">
        <v>59</v>
      </c>
      <c r="H20" s="13"/>
      <c r="I20" s="7" t="s">
        <v>60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1"/>
      <c r="B21" s="1"/>
      <c r="C21" s="64"/>
      <c r="D21" s="62" t="s">
        <v>61</v>
      </c>
      <c r="E21" s="63">
        <f>(C13-C6)*0.5%</f>
        <v>450000</v>
      </c>
      <c r="F21" s="1"/>
      <c r="G21" s="5" t="s">
        <v>62</v>
      </c>
      <c r="H21" s="13"/>
      <c r="I21" s="19" t="s">
        <v>63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57"/>
      <c r="B22" s="1"/>
      <c r="C22" s="64"/>
      <c r="D22" s="64"/>
      <c r="E22" s="64"/>
      <c r="F22" s="1"/>
      <c r="G22" s="28" t="s">
        <v>64</v>
      </c>
      <c r="H22" s="13"/>
      <c r="I22" s="65" t="s">
        <v>65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" customHeight="1">
      <c r="A23" s="57"/>
      <c r="B23" s="1"/>
      <c r="C23" s="64"/>
      <c r="D23" s="66" t="s">
        <v>66</v>
      </c>
      <c r="E23" s="63">
        <f>IF(E19&gt;E21,E19,E21)</f>
        <v>450000</v>
      </c>
      <c r="F23" s="1"/>
      <c r="G23" s="5" t="s">
        <v>67</v>
      </c>
      <c r="H23" s="13"/>
      <c r="I23" s="68" t="s">
        <v>68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" customHeight="1">
      <c r="A24" s="57"/>
      <c r="B24" s="1"/>
      <c r="C24" s="61"/>
      <c r="D24" s="54" t="s">
        <v>69</v>
      </c>
      <c r="E24" s="69">
        <f>(C7*0.03)+(C10*0.05)</f>
        <v>0</v>
      </c>
      <c r="F24" s="1"/>
      <c r="G24" s="5" t="s">
        <v>70</v>
      </c>
      <c r="H24" s="13">
        <v>100000</v>
      </c>
      <c r="I24" s="68" t="s">
        <v>71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" customHeight="1">
      <c r="A25" s="1"/>
      <c r="B25" s="1"/>
      <c r="C25" s="64"/>
      <c r="D25" s="66" t="s">
        <v>72</v>
      </c>
      <c r="E25" s="70">
        <f>E23-E24</f>
        <v>450000</v>
      </c>
      <c r="F25" s="1"/>
      <c r="G25" s="5" t="s">
        <v>73</v>
      </c>
      <c r="H25" s="13"/>
      <c r="I25" s="7" t="s">
        <v>74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" customHeight="1">
      <c r="A26" s="1"/>
      <c r="B26" s="1"/>
      <c r="C26" s="77" t="s">
        <v>75</v>
      </c>
      <c r="D26" s="78"/>
      <c r="E26" s="71">
        <f>E25/C14</f>
        <v>5.0000000000000001E-3</v>
      </c>
      <c r="F26" s="1"/>
      <c r="G26" s="5" t="s">
        <v>76</v>
      </c>
      <c r="H26" s="13"/>
      <c r="I26" s="7" t="s">
        <v>77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3" customHeight="1">
      <c r="A27" s="1"/>
      <c r="B27" s="1"/>
      <c r="C27" s="1"/>
      <c r="D27" s="1"/>
      <c r="E27" s="1"/>
      <c r="F27" s="1"/>
      <c r="G27" s="5" t="s">
        <v>78</v>
      </c>
      <c r="H27" s="13"/>
      <c r="I27" s="7" t="s">
        <v>79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" customHeight="1">
      <c r="A28" s="1"/>
      <c r="B28" s="1"/>
      <c r="C28" s="1"/>
      <c r="D28" s="1"/>
      <c r="E28" s="1"/>
      <c r="F28" s="1"/>
      <c r="G28" s="5" t="s">
        <v>80</v>
      </c>
      <c r="H28" s="13"/>
      <c r="I28" s="7" t="s">
        <v>81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3" customHeight="1">
      <c r="A29" s="1"/>
      <c r="B29" s="1"/>
      <c r="C29" s="1"/>
      <c r="D29" s="1"/>
      <c r="E29" s="1"/>
      <c r="F29" s="1"/>
      <c r="G29" s="5" t="s">
        <v>82</v>
      </c>
      <c r="H29" s="13"/>
      <c r="I29" s="7" t="s">
        <v>83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3" customHeight="1">
      <c r="A30" s="1"/>
      <c r="B30" s="1"/>
      <c r="C30" s="1"/>
      <c r="D30" s="1"/>
      <c r="E30" s="1"/>
      <c r="F30" s="1"/>
      <c r="G30" s="1"/>
      <c r="H30" s="1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3" customHeight="1">
      <c r="A31" s="1"/>
      <c r="B31" s="1"/>
      <c r="C31" s="1"/>
      <c r="D31" s="1"/>
      <c r="E31" s="1"/>
      <c r="F31" s="1"/>
      <c r="G31" s="72" t="s">
        <v>84</v>
      </c>
      <c r="H31" s="73">
        <f>SUM(H5:H29)</f>
        <v>440000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3" customHeight="1">
      <c r="A32" s="1"/>
      <c r="B32" s="1"/>
      <c r="C32" s="1"/>
      <c r="D32" s="1"/>
      <c r="E32" s="1"/>
      <c r="F32" s="1"/>
      <c r="G32" s="1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>
      <c r="A33" s="1"/>
      <c r="B33" s="1"/>
      <c r="C33" s="1"/>
      <c r="D33" s="1"/>
      <c r="E33" s="1"/>
      <c r="F33" s="1"/>
      <c r="G33" s="1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>
      <c r="A34" s="1"/>
      <c r="B34" s="1"/>
      <c r="C34" s="1"/>
      <c r="D34" s="1"/>
      <c r="E34" s="1"/>
      <c r="F34" s="1"/>
      <c r="G34" s="1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1"/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B36" s="1"/>
      <c r="C36" s="1"/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>
      <c r="A91" s="1"/>
      <c r="B91" s="1"/>
      <c r="C91" s="1"/>
      <c r="D91" s="1"/>
      <c r="E91" s="1"/>
      <c r="F91" s="1"/>
      <c r="G91" s="1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>
      <c r="A92" s="1"/>
      <c r="B92" s="1"/>
      <c r="C92" s="1"/>
      <c r="D92" s="1"/>
      <c r="E92" s="1"/>
      <c r="F92" s="1"/>
      <c r="G92" s="1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>
      <c r="A93" s="1"/>
      <c r="B93" s="1"/>
      <c r="C93" s="1"/>
      <c r="D93" s="1"/>
      <c r="E93" s="1"/>
      <c r="F93" s="1"/>
      <c r="G93" s="1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>
      <c r="A94" s="1"/>
      <c r="B94" s="1"/>
      <c r="C94" s="1"/>
      <c r="D94" s="1"/>
      <c r="E94" s="1"/>
      <c r="F94" s="1"/>
      <c r="G94" s="1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>
      <c r="A95" s="1"/>
      <c r="B95" s="1"/>
      <c r="C95" s="1"/>
      <c r="D95" s="1"/>
      <c r="E95" s="1"/>
      <c r="F95" s="1"/>
      <c r="G95" s="1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>
      <c r="A96" s="1"/>
      <c r="B96" s="1"/>
      <c r="C96" s="1"/>
      <c r="D96" s="1"/>
      <c r="E96" s="1"/>
      <c r="F96" s="1"/>
      <c r="G96" s="1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C26:D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คำนวณ</vt:lpstr>
      <vt:lpstr>สำเนาของ คำนวณ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Suwaida Tarhe</dc:creator>
  <cp:lastModifiedBy>Ausama Waenoh</cp:lastModifiedBy>
  <dcterms:created xsi:type="dcterms:W3CDTF">2024-09-19T04:03:53Z</dcterms:created>
  <dcterms:modified xsi:type="dcterms:W3CDTF">2024-12-04T06:58:53Z</dcterms:modified>
</cp:coreProperties>
</file>